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vlentfer\OneDrive - unweagles\Desktop\"/>
    </mc:Choice>
  </mc:AlternateContent>
  <bookViews>
    <workbookView xWindow="0" yWindow="0" windowWidth="16200" windowHeight="7185"/>
  </bookViews>
  <sheets>
    <sheet name="Sample Semester" sheetId="23" r:id="rId1"/>
    <sheet name="Sheet1" sheetId="11" r:id="rId2"/>
  </sheets>
  <calcPr calcId="162913"/>
</workbook>
</file>

<file path=xl/calcChain.xml><?xml version="1.0" encoding="utf-8"?>
<calcChain xmlns="http://schemas.openxmlformats.org/spreadsheetml/2006/main">
  <c r="E44" i="23" l="1"/>
  <c r="E43" i="23"/>
  <c r="E42" i="23"/>
  <c r="F17" i="23" s="1"/>
  <c r="E41" i="23"/>
  <c r="E40" i="23"/>
  <c r="E39" i="23"/>
  <c r="E38" i="23"/>
  <c r="E26" i="23"/>
  <c r="E51" i="23"/>
  <c r="E55" i="23"/>
  <c r="E49" i="23"/>
  <c r="E61" i="23" s="1"/>
  <c r="E50" i="23"/>
  <c r="E52" i="23"/>
  <c r="E53" i="23"/>
  <c r="E54" i="23"/>
  <c r="E56" i="23"/>
  <c r="E57" i="23"/>
  <c r="E58" i="23"/>
  <c r="E59" i="23"/>
  <c r="E60" i="23"/>
  <c r="E22" i="23"/>
  <c r="E24" i="23"/>
  <c r="E30" i="23"/>
  <c r="E31" i="23"/>
  <c r="E23" i="23"/>
  <c r="E25" i="23"/>
  <c r="E27" i="23"/>
  <c r="F16" i="23" s="1"/>
  <c r="E28" i="23"/>
  <c r="E29" i="23"/>
  <c r="E32" i="23"/>
  <c r="E33" i="23"/>
  <c r="E34" i="23"/>
  <c r="E35" i="23"/>
  <c r="E36" i="23"/>
  <c r="E37" i="23"/>
  <c r="B17" i="23"/>
  <c r="B16" i="23"/>
  <c r="B18" i="23"/>
  <c r="D61" i="23"/>
  <c r="D45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B15" i="23"/>
  <c r="C10" i="23"/>
  <c r="E10" i="23"/>
  <c r="D10" i="23"/>
  <c r="D9" i="23"/>
  <c r="E9" i="23" s="1"/>
  <c r="C9" i="23"/>
  <c r="D7" i="23"/>
  <c r="C7" i="23"/>
  <c r="C8" i="23"/>
  <c r="D6" i="23"/>
  <c r="C6" i="23"/>
  <c r="D4" i="23"/>
  <c r="C4" i="23"/>
  <c r="C5" i="23" s="1"/>
  <c r="C11" i="23" s="1"/>
  <c r="F18" i="23" l="1"/>
  <c r="D8" i="23"/>
  <c r="E6" i="23"/>
  <c r="E7" i="23"/>
  <c r="F15" i="23"/>
  <c r="E45" i="23"/>
  <c r="E4" i="23"/>
  <c r="D5" i="23"/>
  <c r="E8" i="23" l="1"/>
  <c r="E5" i="23"/>
  <c r="E11" i="23" s="1"/>
  <c r="D11" i="23"/>
</calcChain>
</file>

<file path=xl/sharedStrings.xml><?xml version="1.0" encoding="utf-8"?>
<sst xmlns="http://schemas.openxmlformats.org/spreadsheetml/2006/main" count="194" uniqueCount="85">
  <si>
    <t>Program</t>
  </si>
  <si>
    <t>Credits</t>
  </si>
  <si>
    <t>Tokens</t>
  </si>
  <si>
    <t>Comments</t>
  </si>
  <si>
    <t>ACT</t>
  </si>
  <si>
    <t>New (1 Delivery)</t>
  </si>
  <si>
    <t>Nathan</t>
  </si>
  <si>
    <t>Adam</t>
  </si>
  <si>
    <t>MAED</t>
  </si>
  <si>
    <t>Revision</t>
  </si>
  <si>
    <t>Total</t>
  </si>
  <si>
    <t>New (2 Deliveries)</t>
  </si>
  <si>
    <t>AA</t>
  </si>
  <si>
    <t>MATS</t>
  </si>
  <si>
    <t>Refresh</t>
  </si>
  <si>
    <t>CMN</t>
  </si>
  <si>
    <t>MDIV</t>
  </si>
  <si>
    <t>MOL</t>
  </si>
  <si>
    <t xml:space="preserve"> </t>
  </si>
  <si>
    <t>Courses</t>
  </si>
  <si>
    <t>Cost</t>
  </si>
  <si>
    <t>Full Rev (2 Deliveries)</t>
  </si>
  <si>
    <t>Full Rev (1 Delivery)</t>
  </si>
  <si>
    <t>Taylor</t>
  </si>
  <si>
    <t>Workload Summary</t>
  </si>
  <si>
    <t>Workload</t>
  </si>
  <si>
    <t>New/Full Revision for DE</t>
  </si>
  <si>
    <t>New/Full Revision for AU and GS (1 Delivery)</t>
  </si>
  <si>
    <t>New/Full Revision for AU and GS (2 Deliveries)</t>
  </si>
  <si>
    <t>Revisions for DE</t>
  </si>
  <si>
    <t>Revisions for AU and GS</t>
  </si>
  <si>
    <t>Refreshes</t>
  </si>
  <si>
    <t>Reviews</t>
  </si>
  <si>
    <t>Designer Workload</t>
  </si>
  <si>
    <t>New/Full Revision</t>
  </si>
  <si>
    <t>Copernican</t>
  </si>
  <si>
    <t>Review</t>
  </si>
  <si>
    <t>Developments (Bold represents a course that must be developed for a program to run as scheduled.)</t>
  </si>
  <si>
    <t>Code and Title</t>
  </si>
  <si>
    <t>IDT</t>
  </si>
  <si>
    <t>AW</t>
  </si>
  <si>
    <t>TM</t>
  </si>
  <si>
    <t>DE</t>
  </si>
  <si>
    <t>NL</t>
  </si>
  <si>
    <t>AM</t>
  </si>
  <si>
    <t>Program Reviews</t>
  </si>
  <si>
    <t>STS1019 Adult Learner Success Strategies</t>
  </si>
  <si>
    <t>LDR5304 Leading in the Knowledge Economy</t>
  </si>
  <si>
    <t>LDR5100 Personal Growth for Effective Leadership</t>
  </si>
  <si>
    <t>BUA5010 Managerial Leadership</t>
  </si>
  <si>
    <t>MBA/MOL</t>
  </si>
  <si>
    <t>ACL2021 Classical Latin 1</t>
  </si>
  <si>
    <t>LDR5300 Program Evaluation</t>
  </si>
  <si>
    <t>BIB6212 Old Testament Prophets</t>
  </si>
  <si>
    <t>BIB6213 Old Testament Writings</t>
  </si>
  <si>
    <t xml:space="preserve">EDU5242 Organizational Models of the Field </t>
  </si>
  <si>
    <t xml:space="preserve">EDU5250 Educational Statistics: Collecting and Using Data for Educational Decisions </t>
  </si>
  <si>
    <t>MIN5610 Ministering Culturally and Globally</t>
  </si>
  <si>
    <t xml:space="preserve">EDU5263 Assessment in the Field </t>
  </si>
  <si>
    <t>EDU5211 Content in the Field</t>
  </si>
  <si>
    <t>LDR5202 Effective Communication and Leadership</t>
  </si>
  <si>
    <t>BIO1025 Medical Terminology</t>
  </si>
  <si>
    <t>SPE1075 Public Speaking</t>
  </si>
  <si>
    <t>PYC4025 Professional Ethics</t>
  </si>
  <si>
    <t>Target</t>
  </si>
  <si>
    <t>Amy (from July)</t>
  </si>
  <si>
    <t xml:space="preserve">ENG1105 Composition </t>
  </si>
  <si>
    <t xml:space="preserve">MKT1085 Fundamentals of Marketing </t>
  </si>
  <si>
    <t>CMN4049 Advanced Organizational Communication</t>
  </si>
  <si>
    <t>PYC4081 Stress Management</t>
  </si>
  <si>
    <t>HP</t>
  </si>
  <si>
    <t>PYC4855 Health Psychology Capstone</t>
  </si>
  <si>
    <t>BUA5420 Business Leadership Ethics</t>
  </si>
  <si>
    <t>HIS5019 History of Christianity</t>
  </si>
  <si>
    <t>MIN5993/5994 Graduate Internship I and II</t>
  </si>
  <si>
    <t>PYC4083 Pain Management</t>
  </si>
  <si>
    <t>ICS3215 Contemporary Religious Movements</t>
  </si>
  <si>
    <t>ACT4032 Managerial Accounting</t>
  </si>
  <si>
    <t>LDR5308 Leading Organizational Change</t>
  </si>
  <si>
    <t>LDR5110 Management and Leadership, Theory and Practice</t>
  </si>
  <si>
    <t>BUA5220 Human Resource Leadership</t>
  </si>
  <si>
    <t>BUA5620 Data Analysis and Decision Making</t>
  </si>
  <si>
    <t>LDR5306 Leading for Organizational Success</t>
  </si>
  <si>
    <t>LDR5855 Capstone Project</t>
  </si>
  <si>
    <t>Developments to be worked on during Sample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</si>
</sst>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;[Red]&quot;Short &quot;0"/>
    <numFmt numFmtId="166" formatCode="0.00;[Red]&quot;Short &quot;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theme="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2" fillId="0" borderId="8" xfId="0" applyFont="1" applyBorder="1"/>
    <xf numFmtId="164" fontId="0" fillId="0" borderId="0" xfId="1" applyNumberFormat="1" applyFont="1"/>
    <xf numFmtId="0" fontId="7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3" xfId="0" applyFont="1" applyBorder="1"/>
    <xf numFmtId="0" fontId="4" fillId="0" borderId="12" xfId="0" applyFont="1" applyBorder="1" applyAlignment="1">
      <alignment horizontal="left"/>
    </xf>
    <xf numFmtId="0" fontId="0" fillId="0" borderId="0" xfId="0" applyAlignment="1">
      <alignment horizontal="center"/>
    </xf>
    <xf numFmtId="164" fontId="2" fillId="0" borderId="0" xfId="1" applyNumberFormat="1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/>
    <xf numFmtId="164" fontId="0" fillId="0" borderId="4" xfId="1" applyNumberFormat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65" fontId="2" fillId="0" borderId="8" xfId="0" applyNumberFormat="1" applyFont="1" applyBorder="1" applyAlignment="1">
      <alignment horizontal="left"/>
    </xf>
    <xf numFmtId="164" fontId="2" fillId="0" borderId="6" xfId="1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left"/>
    </xf>
    <xf numFmtId="0" fontId="2" fillId="0" borderId="3" xfId="0" applyFont="1" applyBorder="1" applyAlignment="1">
      <alignment wrapText="1"/>
    </xf>
    <xf numFmtId="165" fontId="2" fillId="0" borderId="4" xfId="0" applyNumberFormat="1" applyFont="1" applyBorder="1" applyAlignment="1">
      <alignment horizontal="left" wrapText="1"/>
    </xf>
    <xf numFmtId="0" fontId="3" fillId="2" borderId="9" xfId="0" applyFont="1" applyFill="1" applyBorder="1" applyAlignment="1">
      <alignment wrapText="1"/>
    </xf>
    <xf numFmtId="0" fontId="3" fillId="2" borderId="10" xfId="0" applyFont="1" applyFill="1" applyBorder="1"/>
    <xf numFmtId="0" fontId="3" fillId="2" borderId="10" xfId="0" applyFont="1" applyFill="1" applyBorder="1" applyAlignment="1">
      <alignment horizontal="left"/>
    </xf>
    <xf numFmtId="165" fontId="3" fillId="2" borderId="10" xfId="0" applyNumberFormat="1" applyFont="1" applyFill="1" applyBorder="1" applyAlignment="1">
      <alignment horizontal="left"/>
    </xf>
    <xf numFmtId="164" fontId="3" fillId="2" borderId="11" xfId="1" applyNumberFormat="1" applyFont="1" applyFill="1" applyBorder="1" applyAlignment="1">
      <alignment horizontal="left" wrapText="1"/>
    </xf>
    <xf numFmtId="0" fontId="3" fillId="3" borderId="13" xfId="0" applyFont="1" applyFill="1" applyBorder="1"/>
    <xf numFmtId="0" fontId="3" fillId="3" borderId="13" xfId="0" applyFont="1" applyFill="1" applyBorder="1" applyAlignment="1">
      <alignment horizontal="left"/>
    </xf>
    <xf numFmtId="165" fontId="3" fillId="3" borderId="13" xfId="0" applyNumberFormat="1" applyFont="1" applyFill="1" applyBorder="1" applyAlignment="1">
      <alignment horizontal="left"/>
    </xf>
    <xf numFmtId="0" fontId="2" fillId="0" borderId="14" xfId="0" applyFont="1" applyBorder="1" applyAlignment="1">
      <alignment wrapText="1"/>
    </xf>
    <xf numFmtId="0" fontId="3" fillId="3" borderId="0" xfId="0" applyFont="1" applyFill="1" applyAlignment="1">
      <alignment horizontal="left"/>
    </xf>
    <xf numFmtId="0" fontId="3" fillId="2" borderId="10" xfId="0" applyFont="1" applyFill="1" applyBorder="1" applyAlignment="1">
      <alignment wrapText="1"/>
    </xf>
    <xf numFmtId="164" fontId="6" fillId="0" borderId="0" xfId="1" applyNumberFormat="1"/>
    <xf numFmtId="0" fontId="3" fillId="3" borderId="15" xfId="0" applyFont="1" applyFill="1" applyBorder="1"/>
    <xf numFmtId="165" fontId="3" fillId="3" borderId="16" xfId="0" applyNumberFormat="1" applyFont="1" applyFill="1" applyBorder="1" applyAlignment="1">
      <alignment horizontal="left"/>
    </xf>
    <xf numFmtId="0" fontId="2" fillId="0" borderId="14" xfId="0" applyFont="1" applyBorder="1"/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2" fontId="0" fillId="0" borderId="0" xfId="0" applyNumberFormat="1" applyAlignment="1">
      <alignment horizontal="left"/>
    </xf>
    <xf numFmtId="165" fontId="7" fillId="0" borderId="0" xfId="0" applyNumberFormat="1" applyFont="1" applyAlignment="1">
      <alignment horizontal="left"/>
    </xf>
    <xf numFmtId="0" fontId="7" fillId="0" borderId="3" xfId="0" applyFont="1" applyBorder="1" applyAlignment="1">
      <alignment wrapText="1"/>
    </xf>
    <xf numFmtId="0" fontId="10" fillId="0" borderId="0" xfId="0" applyFont="1" applyAlignment="1">
      <alignment horizontal="left"/>
    </xf>
    <xf numFmtId="166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1" fillId="0" borderId="0" xfId="1" applyNumberFormat="1" applyFont="1"/>
    <xf numFmtId="0" fontId="2" fillId="0" borderId="3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4" fillId="0" borderId="12" xfId="0" applyFont="1" applyFill="1" applyBorder="1" applyAlignment="1">
      <alignment horizontal="left"/>
    </xf>
    <xf numFmtId="165" fontId="2" fillId="0" borderId="0" xfId="0" applyNumberFormat="1" applyFont="1" applyFill="1" applyAlignment="1">
      <alignment horizontal="left"/>
    </xf>
    <xf numFmtId="165" fontId="2" fillId="0" borderId="4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wrapText="1"/>
    </xf>
    <xf numFmtId="164" fontId="2" fillId="0" borderId="4" xfId="1" applyNumberFormat="1" applyFont="1" applyFill="1" applyBorder="1" applyAlignment="1">
      <alignment horizontal="left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/>
    </xf>
    <xf numFmtId="165" fontId="0" fillId="0" borderId="4" xfId="0" applyNumberFormat="1" applyFont="1" applyFill="1" applyBorder="1" applyAlignment="1">
      <alignment horizontal="left" wrapText="1"/>
    </xf>
    <xf numFmtId="165" fontId="9" fillId="0" borderId="4" xfId="0" applyNumberFormat="1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/>
    <xf numFmtId="0" fontId="3" fillId="2" borderId="7" xfId="0" applyFont="1" applyFill="1" applyBorder="1" applyAlignment="1"/>
    <xf numFmtId="0" fontId="3" fillId="2" borderId="2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.00;[Red]&quot;Short &quot;0.00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left style="medium">
          <color rgb="FF000000"/>
        </left>
        <right style="medium">
          <color rgb="FF000000"/>
        </right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;[Red]&quot;Short &quot;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;[Red]&quot;Short &quot;0"/>
      <alignment horizontal="left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;[Red]&quot;Short &quot;0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9BC2E6"/>
        </top>
        <bottom style="medium">
          <color rgb="FF000000"/>
        </bottom>
      </border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alignment horizontal="left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;[Red]&quot;Short &quot;0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bottom style="medium">
          <color rgb="FF000000"/>
        </bottom>
      </border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35" name="Table36636" displayName="Table36636" ref="A3:F11" totalsRowShown="0" dataDxfId="33" tableBorderDxfId="32">
  <autoFilter ref="A3:F11"/>
  <tableColumns count="6">
    <tableColumn id="1" name="Workload" dataDxfId="31"/>
    <tableColumn id="2" name=" " dataDxfId="30"/>
    <tableColumn id="3" name="Courses" dataDxfId="29"/>
    <tableColumn id="4" name="Credits" dataDxfId="28"/>
    <tableColumn id="5" name="Tokens" dataDxfId="27"/>
    <tableColumn id="6" name="Cost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8" name="Table37739" displayName="Table37739" ref="A21:G44" totalsRowShown="0">
  <autoFilter ref="A21:G44"/>
  <tableColumns count="7">
    <tableColumn id="1" name="Code and Title" dataDxfId="25"/>
    <tableColumn id="2" name="Workload" dataDxfId="24"/>
    <tableColumn id="3" name="Program" dataDxfId="23"/>
    <tableColumn id="4" name="Credits" dataDxfId="22"/>
    <tableColumn id="5" name="Tokens" dataDxfId="21">
      <calculatedColumnFormula>IF(B22="New (2 Deliveries)",((D22*2)+(D22*1)),IF(B22="Full Rev (2 Deliveries)",((D22*2)+(D22*1)),IF(B22="New (1 Delivery)",(D22*2),IF(B22="Full Rev (1 Delivery)",(D22*2),IF(B22="Revision",(D22*1),IF(B22="Refresh",(D22*0.5),IF(B22="Copernican",(D22*0.2),(D22*0+0.33))))))))</calculatedColumnFormula>
    </tableColumn>
    <tableColumn id="6" name="IDT" dataDxfId="20"/>
    <tableColumn id="7" name="Comments" dataDxfId="19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9" name="Table443140" displayName="Table443140" ref="A48:G60" totalsRowShown="0" headerRowBorderDxfId="18" tableBorderDxfId="17">
  <autoFilter ref="A48:G60"/>
  <tableColumns count="7">
    <tableColumn id="1" name="Code and Title" dataDxfId="16"/>
    <tableColumn id="2" name="Workload" dataDxfId="15"/>
    <tableColumn id="3" name="Program" dataDxfId="14"/>
    <tableColumn id="4" name="Credits" dataDxfId="13"/>
    <tableColumn id="5" name="Tokens" dataDxfId="12">
      <calculatedColumnFormula>IF(B49="New (2 Deliveries)",((D49*2)+(D49*1)),IF(B49="Full Rev (2 Deliveries)",((D49*2)+(D49*1)),IF(B49="New (1 Delivery)",(D49*2),IF(B49="Full Rev (1 Delivery)",(D49*2),IF(B49="Revision",(D49*1),IF(B49="Refresh",(D49*0.5),IF(B49="Copernican",(D49*0.2),(D49*0+0.33))))))))</calculatedColumnFormula>
    </tableColumn>
    <tableColumn id="6" name="IDT" dataDxfId="11"/>
    <tableColumn id="7" name="Comments" dataDxfId="10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2" name="Table313543" displayName="Table313543" ref="A14:G18" totalsRowShown="0" headerRowDxfId="9" dataDxfId="8" tableBorderDxfId="7">
  <autoFilter ref="A14:G18"/>
  <tableColumns count="7">
    <tableColumn id="1" name="Designer Workload" dataDxfId="6"/>
    <tableColumn id="2" name="New/Full Revision" dataDxfId="5"/>
    <tableColumn id="3" name="Revision" dataDxfId="4"/>
    <tableColumn id="4" name="Refresh" dataDxfId="3"/>
    <tableColumn id="5" name="Review" dataDxfId="2"/>
    <tableColumn id="6" name="Tokens" dataDxfId="1"/>
    <tableColumn id="7" name="Targe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tabSelected="1" zoomScaleNormal="100" workbookViewId="0">
      <selection activeCell="I1" sqref="I1"/>
    </sheetView>
  </sheetViews>
  <sheetFormatPr defaultRowHeight="15" x14ac:dyDescent="0.25"/>
  <cols>
    <col min="1" max="1" width="23.140625" customWidth="1"/>
    <col min="2" max="2" width="21" customWidth="1"/>
    <col min="3" max="3" width="11.5703125" customWidth="1"/>
    <col min="4" max="4" width="10" style="1" customWidth="1"/>
    <col min="5" max="5" width="13.140625" customWidth="1"/>
    <col min="6" max="6" width="9.7109375" customWidth="1"/>
    <col min="7" max="7" width="12.7109375" customWidth="1"/>
    <col min="8" max="8" width="1.85546875" style="1" customWidth="1"/>
    <col min="9" max="9" width="8.7109375" customWidth="1"/>
    <col min="10" max="10" width="7.140625" customWidth="1"/>
    <col min="11" max="11" width="10.140625" customWidth="1"/>
    <col min="12" max="12" width="9.42578125" customWidth="1"/>
    <col min="13" max="13" width="9" bestFit="1" customWidth="1"/>
  </cols>
  <sheetData>
    <row r="1" spans="1:21" ht="32.25" thickBot="1" x14ac:dyDescent="0.55000000000000004">
      <c r="A1" s="65" t="s">
        <v>84</v>
      </c>
      <c r="B1" s="65"/>
      <c r="C1" s="65"/>
      <c r="D1" s="65"/>
      <c r="E1" s="65"/>
      <c r="F1" s="65"/>
      <c r="G1" s="65"/>
      <c r="H1" s="50"/>
      <c r="I1" s="50"/>
    </row>
    <row r="2" spans="1:21" x14ac:dyDescent="0.25">
      <c r="A2" s="66" t="s">
        <v>24</v>
      </c>
      <c r="B2" s="67"/>
      <c r="C2" s="67"/>
      <c r="D2" s="67"/>
      <c r="E2" s="67"/>
      <c r="F2" s="68"/>
      <c r="G2" s="19"/>
      <c r="H2" s="51"/>
      <c r="J2" s="1"/>
      <c r="L2" s="1"/>
      <c r="R2" s="9"/>
      <c r="S2" s="9"/>
      <c r="T2" s="1"/>
      <c r="U2" s="12"/>
    </row>
    <row r="3" spans="1:21" x14ac:dyDescent="0.25">
      <c r="A3" s="3" t="s">
        <v>25</v>
      </c>
      <c r="B3" t="s">
        <v>18</v>
      </c>
      <c r="C3" s="1" t="s">
        <v>19</v>
      </c>
      <c r="D3" t="s">
        <v>1</v>
      </c>
      <c r="E3" s="1" t="s">
        <v>2</v>
      </c>
      <c r="F3" s="4" t="s">
        <v>20</v>
      </c>
      <c r="H3" s="8"/>
    </row>
    <row r="4" spans="1:21" x14ac:dyDescent="0.25">
      <c r="A4" s="3" t="s">
        <v>26</v>
      </c>
      <c r="B4" s="16"/>
      <c r="C4" s="9">
        <f>COUNTIFS(Table37739[Program],"DE",Table37739[Workload],"* (1 Delivery)")</f>
        <v>3</v>
      </c>
      <c r="D4" s="9">
        <f>SUMIFS(Table37739[Credits],Table37739[Workload],"* (1 Delivery)",Table37739[Program],"DE")</f>
        <v>11</v>
      </c>
      <c r="E4" s="9">
        <f>(D4*2)</f>
        <v>22</v>
      </c>
      <c r="F4" s="20"/>
      <c r="G4" s="12"/>
      <c r="H4" s="51"/>
    </row>
    <row r="5" spans="1:21" x14ac:dyDescent="0.25">
      <c r="A5" s="3" t="s">
        <v>27</v>
      </c>
      <c r="C5" s="9">
        <f>COUNTIFS(Table37739[Workload],"* (1 Delivery)")-C4</f>
        <v>2</v>
      </c>
      <c r="D5" s="9">
        <f>SUMIFS(Table37739[Credits],Table37739[Workload],"* (1 Delivery)")-D4</f>
        <v>3</v>
      </c>
      <c r="E5" s="9">
        <f>(D5*2)</f>
        <v>6</v>
      </c>
      <c r="F5" s="20"/>
      <c r="G5" s="12"/>
      <c r="H5" s="51"/>
    </row>
    <row r="6" spans="1:21" x14ac:dyDescent="0.25">
      <c r="A6" s="3" t="s">
        <v>28</v>
      </c>
      <c r="C6" s="9">
        <f>COUNTIFS(Table37739[Workload],"* (2 Deliveries)")</f>
        <v>6</v>
      </c>
      <c r="D6" s="9">
        <f>SUMIFS(Table37739[Credits],Table37739[Workload],"* (2 Deliveries)")</f>
        <v>16</v>
      </c>
      <c r="E6" s="9">
        <f>((D6*2)+D6)</f>
        <v>48</v>
      </c>
      <c r="F6" s="20"/>
      <c r="G6" s="12"/>
      <c r="H6" s="51"/>
    </row>
    <row r="7" spans="1:21" x14ac:dyDescent="0.25">
      <c r="A7" s="3" t="s">
        <v>29</v>
      </c>
      <c r="C7" s="9">
        <f>COUNTIFS(Table37739[Program],"DE",Table37739[Workload],"Revision")</f>
        <v>2</v>
      </c>
      <c r="D7" s="9">
        <f>SUMIFS(Table37739[Credits],Table37739[Workload],"Revision",Table37739[Program],"DE")</f>
        <v>8</v>
      </c>
      <c r="E7" s="9">
        <f>D7*1</f>
        <v>8</v>
      </c>
      <c r="F7" s="20"/>
      <c r="G7" s="12"/>
      <c r="H7" s="51"/>
    </row>
    <row r="8" spans="1:21" x14ac:dyDescent="0.25">
      <c r="A8" s="3" t="s">
        <v>30</v>
      </c>
      <c r="C8" s="9">
        <f>COUNTIFS(Table37739[Workload],"Revision")-C7</f>
        <v>6</v>
      </c>
      <c r="D8" s="9">
        <f>SUMIFS(Table37739[Credits],Table37739[Workload],"Revision")-D7</f>
        <v>19</v>
      </c>
      <c r="E8" s="9">
        <f>D8*1</f>
        <v>19</v>
      </c>
      <c r="F8" s="20"/>
      <c r="G8" s="12"/>
      <c r="H8" s="51"/>
    </row>
    <row r="9" spans="1:21" x14ac:dyDescent="0.25">
      <c r="A9" s="3" t="s">
        <v>31</v>
      </c>
      <c r="C9" s="9">
        <f>COUNTIFS(Table37739[Workload],"Refresh")</f>
        <v>4</v>
      </c>
      <c r="D9" s="9">
        <f>SUMIF(Table37739[Workload],"Refresh",Table37739[Credits])</f>
        <v>11</v>
      </c>
      <c r="E9" s="9">
        <f>D9*0.5</f>
        <v>5.5</v>
      </c>
      <c r="F9" s="20"/>
      <c r="G9" s="12"/>
      <c r="H9" s="51"/>
    </row>
    <row r="10" spans="1:21" x14ac:dyDescent="0.25">
      <c r="A10" s="3" t="s">
        <v>32</v>
      </c>
      <c r="C10" s="9">
        <f>COUNTIFS(Table443140[Workload],"Review")</f>
        <v>12</v>
      </c>
      <c r="D10" s="9">
        <f>SUMIF(Table443140[Workload],"Review",Table443140[Credits])</f>
        <v>36</v>
      </c>
      <c r="E10" s="45">
        <f>C10*0.33</f>
        <v>3.96</v>
      </c>
      <c r="F10" s="20"/>
      <c r="G10" s="12"/>
      <c r="H10" s="51"/>
    </row>
    <row r="11" spans="1:21" ht="15.75" thickBot="1" x14ac:dyDescent="0.3">
      <c r="A11" s="5" t="s">
        <v>10</v>
      </c>
      <c r="B11" s="6"/>
      <c r="C11" s="21">
        <f>SUM(C4:C9)</f>
        <v>23</v>
      </c>
      <c r="D11" s="21">
        <f>SUM(D4:D9)</f>
        <v>68</v>
      </c>
      <c r="E11" s="22">
        <f>115-(SUM(E4:E10))</f>
        <v>2.5400000000000063</v>
      </c>
      <c r="F11" s="23"/>
      <c r="G11" s="13"/>
      <c r="H11" s="51"/>
    </row>
    <row r="12" spans="1:21" ht="6.75" customHeight="1" thickBot="1" x14ac:dyDescent="0.3">
      <c r="A12" s="2"/>
      <c r="B12" s="2"/>
      <c r="C12" s="10"/>
      <c r="D12" s="10"/>
      <c r="E12" s="11"/>
      <c r="F12" s="13"/>
      <c r="G12" s="13"/>
      <c r="H12" s="7"/>
    </row>
    <row r="13" spans="1:21" x14ac:dyDescent="0.25">
      <c r="A13" s="69" t="s">
        <v>33</v>
      </c>
      <c r="B13" s="70"/>
      <c r="C13" s="70"/>
      <c r="D13" s="70"/>
      <c r="E13" s="70"/>
      <c r="F13" s="70"/>
      <c r="G13" s="71"/>
      <c r="H13" s="7"/>
    </row>
    <row r="14" spans="1:21" x14ac:dyDescent="0.25">
      <c r="A14" s="2" t="s">
        <v>33</v>
      </c>
      <c r="B14" s="2" t="s">
        <v>34</v>
      </c>
      <c r="C14" s="10" t="s">
        <v>9</v>
      </c>
      <c r="D14" s="10" t="s">
        <v>14</v>
      </c>
      <c r="E14" s="11" t="s">
        <v>36</v>
      </c>
      <c r="F14" s="11" t="s">
        <v>2</v>
      </c>
      <c r="G14" s="11" t="s">
        <v>64</v>
      </c>
      <c r="H14" s="7"/>
    </row>
    <row r="15" spans="1:21" x14ac:dyDescent="0.25">
      <c r="A15" s="41" t="s">
        <v>6</v>
      </c>
      <c r="B15" s="44">
        <f>COUNTIFS(Table37739[IDT],"NL",Table37739[Workload],"New*")+COUNTIFS(Table37739[IDT],"NL",Table37739[Workload],"Full*")</f>
        <v>4</v>
      </c>
      <c r="C15" s="44">
        <f>COUNTIFS(Table37739[IDT],"NL",Table37739[Workload],"Revision")</f>
        <v>1</v>
      </c>
      <c r="D15" s="44">
        <f>COUNTIFS(Table37739[IDT],"NL",Table37739[Workload],"Refresh")</f>
        <v>0</v>
      </c>
      <c r="E15" s="44">
        <f>COUNTIFS(Table443140[IDT],"NL",Table443140[Workload],"Review")</f>
        <v>3</v>
      </c>
      <c r="F15" s="42">
        <f>SUMIF(Table37739[IDT], "NL", Table37739[Tokens])+SUMIF(Table443140[IDT], "NL", Table443140[Tokens])</f>
        <v>30.99</v>
      </c>
      <c r="G15" s="49">
        <v>31.92</v>
      </c>
      <c r="H15" s="7"/>
    </row>
    <row r="16" spans="1:21" x14ac:dyDescent="0.25">
      <c r="A16" s="2" t="s">
        <v>7</v>
      </c>
      <c r="B16" s="10">
        <f>COUNTIFS(Table37739[IDT],"AM",Table37739[Workload],"New*")+COUNTIFS(Table37739[IDT],"AM",Table37739[Workload],"Full*")</f>
        <v>2</v>
      </c>
      <c r="C16" s="10">
        <f>COUNTIFS(Table37739[IDT],"AM",Table37739[Workload],"Revision")</f>
        <v>4</v>
      </c>
      <c r="D16" s="10">
        <f>COUNTIFS(Table37739[IDT],"AM",Table37739[Workload],"Refresh")</f>
        <v>3</v>
      </c>
      <c r="E16" s="10">
        <f>COUNTIFS(Table443140[IDT],"AM",Table443140[Workload],"Review")</f>
        <v>3</v>
      </c>
      <c r="F16" s="42">
        <f>SUMIF(Table37739[IDT], "AM", Table37739[Tokens])+SUMIF(Table443140[IDT], "AM", Table443140[Tokens])</f>
        <v>30.49</v>
      </c>
      <c r="G16" s="49">
        <v>33.33</v>
      </c>
      <c r="H16" s="7"/>
    </row>
    <row r="17" spans="1:12" x14ac:dyDescent="0.25">
      <c r="A17" s="2" t="s">
        <v>65</v>
      </c>
      <c r="B17" s="10">
        <f>COUNTIFS(Table37739[IDT],"AW",Table37739[Workload],"New*")+COUNTIFS(Table37739[IDT],"AW",Table37739[Workload],"Full*")</f>
        <v>1</v>
      </c>
      <c r="C17" s="10">
        <f>COUNTIFS(Table37739[IDT],"AW",Table37739[Workload],"Revision")</f>
        <v>1</v>
      </c>
      <c r="D17" s="10">
        <f>COUNTIFS(Table37739[IDT],"AW",Table37739[Workload],"Refresh")</f>
        <v>1</v>
      </c>
      <c r="E17" s="10">
        <f>COUNTIFS(Table443140[IDT],"AW",Table443140[Workload],"Review")</f>
        <v>3</v>
      </c>
      <c r="F17" s="42">
        <f>SUMIF(Table37739[IDT], "AW", Table37739[Tokens])+SUMIF(Table443140[IDT], "AW", Table443140[Tokens])</f>
        <v>11.99</v>
      </c>
      <c r="G17" s="49">
        <v>16</v>
      </c>
      <c r="H17" s="7"/>
    </row>
    <row r="18" spans="1:12" x14ac:dyDescent="0.25">
      <c r="A18" s="2" t="s">
        <v>23</v>
      </c>
      <c r="B18" s="10">
        <f>COUNTIFS(Table37739[IDT],"TM",Table37739[Workload],"New*")+COUNTIFS(Table37739[IDT],"TM",Table37739[Workload],"Full*")</f>
        <v>4</v>
      </c>
      <c r="C18" s="10">
        <f>COUNTIFS(Table37739[IDT],"TM",Table37739[Workload],"Revision")</f>
        <v>2</v>
      </c>
      <c r="D18" s="10">
        <f>COUNTIFS(Table37739[IDT],"TM",Table37739[Workload],"Refresh")</f>
        <v>0</v>
      </c>
      <c r="E18" s="10">
        <f>COUNTIFS(Table443140[IDT],"TM",Table443140[Workload],"Review")</f>
        <v>3</v>
      </c>
      <c r="F18" s="42">
        <f>SUMIF(Table37739[IDT], "TM", Table37739[Tokens])+SUMIF(Table443140[IDT], "TM", Table443140[Tokens])</f>
        <v>38.99</v>
      </c>
      <c r="G18" s="49">
        <v>33.33</v>
      </c>
      <c r="H18" s="7"/>
    </row>
    <row r="19" spans="1:12" ht="6.75" customHeight="1" thickBot="1" x14ac:dyDescent="0.3">
      <c r="A19" s="2"/>
      <c r="B19" s="2"/>
      <c r="C19" s="2"/>
      <c r="D19" s="10"/>
      <c r="E19" s="10"/>
      <c r="F19" s="11"/>
      <c r="G19" s="13"/>
      <c r="H19" s="51"/>
      <c r="J19" s="1"/>
    </row>
    <row r="20" spans="1:12" x14ac:dyDescent="0.25">
      <c r="A20" s="66" t="s">
        <v>37</v>
      </c>
      <c r="B20" s="67"/>
      <c r="C20" s="67"/>
      <c r="D20" s="67"/>
      <c r="E20" s="67"/>
      <c r="F20" s="67"/>
      <c r="G20" s="68"/>
      <c r="H20" s="51"/>
      <c r="J20" s="1"/>
      <c r="L20" s="1"/>
    </row>
    <row r="21" spans="1:12" x14ac:dyDescent="0.25">
      <c r="A21" s="14" t="s">
        <v>38</v>
      </c>
      <c r="B21" s="2" t="s">
        <v>25</v>
      </c>
      <c r="C21" s="2" t="s">
        <v>0</v>
      </c>
      <c r="D21" s="10" t="s">
        <v>1</v>
      </c>
      <c r="E21" s="10" t="s">
        <v>2</v>
      </c>
      <c r="F21" s="11" t="s">
        <v>39</v>
      </c>
      <c r="G21" s="24" t="s">
        <v>3</v>
      </c>
      <c r="H21" s="51"/>
      <c r="J21" s="1"/>
      <c r="L21" s="1"/>
    </row>
    <row r="22" spans="1:12" x14ac:dyDescent="0.25">
      <c r="A22" s="52" t="s">
        <v>62</v>
      </c>
      <c r="B22" s="53" t="s">
        <v>22</v>
      </c>
      <c r="C22" s="54" t="s">
        <v>42</v>
      </c>
      <c r="D22" s="55">
        <v>3</v>
      </c>
      <c r="E22" s="56">
        <f t="shared" ref="E22:E43" si="0">IF(B22="New (2 Deliveries)",((D22*2)+(D22*1)),IF(B22="Full Rev (2 Deliveries)",((D22*2)+(D22*1)),IF(B22="New (1 Delivery)",(D22*2),IF(B22="Full Rev (1 Delivery)",(D22*2),IF(B22="Revision",(D22*1),IF(B22="Refresh",(D22*0.5),IF(B22="Copernican",(D22*0.2),(D22*0+0.33))))))))</f>
        <v>6</v>
      </c>
      <c r="F22" s="57" t="s">
        <v>41</v>
      </c>
      <c r="G22" s="58"/>
      <c r="H22" s="51"/>
      <c r="J22" s="1"/>
      <c r="L22" s="1"/>
    </row>
    <row r="23" spans="1:12" x14ac:dyDescent="0.25">
      <c r="A23" s="52" t="s">
        <v>66</v>
      </c>
      <c r="B23" s="59" t="s">
        <v>22</v>
      </c>
      <c r="C23" s="54" t="s">
        <v>42</v>
      </c>
      <c r="D23" s="55">
        <v>4</v>
      </c>
      <c r="E23" s="55">
        <f t="shared" si="0"/>
        <v>8</v>
      </c>
      <c r="F23" s="57" t="s">
        <v>44</v>
      </c>
      <c r="G23" s="58"/>
      <c r="H23" s="51"/>
      <c r="J23" s="1"/>
      <c r="L23" s="1"/>
    </row>
    <row r="24" spans="1:12" ht="30" x14ac:dyDescent="0.25">
      <c r="A24" s="52" t="s">
        <v>67</v>
      </c>
      <c r="B24" s="59" t="s">
        <v>22</v>
      </c>
      <c r="C24" s="54" t="s">
        <v>42</v>
      </c>
      <c r="D24" s="55">
        <v>4</v>
      </c>
      <c r="E24" s="55">
        <f t="shared" si="0"/>
        <v>8</v>
      </c>
      <c r="F24" s="57" t="s">
        <v>41</v>
      </c>
      <c r="G24" s="58"/>
      <c r="H24" s="51"/>
      <c r="J24" s="1"/>
      <c r="L24" s="1"/>
    </row>
    <row r="25" spans="1:12" ht="30" x14ac:dyDescent="0.25">
      <c r="A25" s="59" t="s">
        <v>61</v>
      </c>
      <c r="B25" s="59" t="s">
        <v>9</v>
      </c>
      <c r="C25" s="54" t="s">
        <v>42</v>
      </c>
      <c r="D25" s="55">
        <v>4</v>
      </c>
      <c r="E25" s="55">
        <f t="shared" si="0"/>
        <v>4</v>
      </c>
      <c r="F25" s="57" t="s">
        <v>43</v>
      </c>
      <c r="G25" s="58"/>
      <c r="H25" s="51"/>
      <c r="J25" s="1"/>
      <c r="L25" s="1"/>
    </row>
    <row r="26" spans="1:12" ht="30" x14ac:dyDescent="0.25">
      <c r="A26" s="52" t="s">
        <v>46</v>
      </c>
      <c r="B26" s="59" t="s">
        <v>21</v>
      </c>
      <c r="C26" s="54" t="s">
        <v>12</v>
      </c>
      <c r="D26" s="55">
        <v>2</v>
      </c>
      <c r="E26" s="55">
        <f t="shared" si="0"/>
        <v>6</v>
      </c>
      <c r="F26" s="57" t="s">
        <v>40</v>
      </c>
      <c r="G26" s="60"/>
    </row>
    <row r="27" spans="1:12" ht="45" x14ac:dyDescent="0.25">
      <c r="A27" s="52" t="s">
        <v>68</v>
      </c>
      <c r="B27" s="61" t="s">
        <v>5</v>
      </c>
      <c r="C27" s="54" t="s">
        <v>15</v>
      </c>
      <c r="D27" s="55">
        <v>2</v>
      </c>
      <c r="E27" s="62">
        <f t="shared" si="0"/>
        <v>4</v>
      </c>
      <c r="F27" s="57" t="s">
        <v>44</v>
      </c>
      <c r="G27" s="58"/>
      <c r="H27" s="38"/>
      <c r="J27" s="1"/>
      <c r="L27" s="1"/>
    </row>
    <row r="28" spans="1:12" ht="30" x14ac:dyDescent="0.25">
      <c r="A28" s="52" t="s">
        <v>69</v>
      </c>
      <c r="B28" s="59" t="s">
        <v>9</v>
      </c>
      <c r="C28" s="54" t="s">
        <v>70</v>
      </c>
      <c r="D28" s="55">
        <v>3</v>
      </c>
      <c r="E28" s="55">
        <f t="shared" si="0"/>
        <v>3</v>
      </c>
      <c r="F28" s="57" t="s">
        <v>44</v>
      </c>
      <c r="G28" s="58"/>
      <c r="H28" s="38"/>
      <c r="J28" s="1"/>
      <c r="L28" s="1"/>
    </row>
    <row r="29" spans="1:12" ht="30" x14ac:dyDescent="0.25">
      <c r="A29" s="52" t="s">
        <v>71</v>
      </c>
      <c r="B29" s="59" t="s">
        <v>9</v>
      </c>
      <c r="C29" s="54" t="s">
        <v>70</v>
      </c>
      <c r="D29" s="55">
        <v>4</v>
      </c>
      <c r="E29" s="55">
        <f t="shared" si="0"/>
        <v>4</v>
      </c>
      <c r="F29" s="57" t="s">
        <v>44</v>
      </c>
      <c r="G29" s="60"/>
      <c r="H29" s="38"/>
      <c r="J29" s="1"/>
      <c r="L29" s="1"/>
    </row>
    <row r="30" spans="1:12" ht="30" x14ac:dyDescent="0.25">
      <c r="A30" s="52" t="s">
        <v>63</v>
      </c>
      <c r="B30" s="59" t="s">
        <v>9</v>
      </c>
      <c r="C30" s="54" t="s">
        <v>70</v>
      </c>
      <c r="D30" s="55">
        <v>2</v>
      </c>
      <c r="E30" s="55">
        <f t="shared" si="0"/>
        <v>2</v>
      </c>
      <c r="F30" s="57" t="s">
        <v>41</v>
      </c>
      <c r="G30" s="58"/>
      <c r="H30" s="38"/>
      <c r="J30" s="1"/>
      <c r="L30" s="1"/>
    </row>
    <row r="31" spans="1:12" ht="30" x14ac:dyDescent="0.25">
      <c r="A31" s="52" t="s">
        <v>72</v>
      </c>
      <c r="B31" s="59" t="s">
        <v>21</v>
      </c>
      <c r="C31" s="54" t="s">
        <v>50</v>
      </c>
      <c r="D31" s="55">
        <v>4</v>
      </c>
      <c r="E31" s="55">
        <f t="shared" si="0"/>
        <v>12</v>
      </c>
      <c r="F31" s="57" t="s">
        <v>41</v>
      </c>
      <c r="G31" s="60"/>
      <c r="H31" s="38"/>
      <c r="J31" s="1"/>
      <c r="L31" s="1"/>
    </row>
    <row r="32" spans="1:12" ht="30" x14ac:dyDescent="0.25">
      <c r="A32" s="52" t="s">
        <v>73</v>
      </c>
      <c r="B32" s="59" t="s">
        <v>21</v>
      </c>
      <c r="C32" s="54" t="s">
        <v>13</v>
      </c>
      <c r="D32" s="55">
        <v>4</v>
      </c>
      <c r="E32" s="55">
        <f t="shared" si="0"/>
        <v>12</v>
      </c>
      <c r="F32" s="57" t="s">
        <v>43</v>
      </c>
      <c r="G32" s="58"/>
      <c r="H32" s="38"/>
      <c r="J32" s="1"/>
      <c r="L32" s="1"/>
    </row>
    <row r="33" spans="1:12" ht="30" x14ac:dyDescent="0.25">
      <c r="A33" s="52" t="s">
        <v>74</v>
      </c>
      <c r="B33" s="59" t="s">
        <v>5</v>
      </c>
      <c r="C33" s="54" t="s">
        <v>16</v>
      </c>
      <c r="D33" s="55">
        <v>1</v>
      </c>
      <c r="E33" s="55">
        <f t="shared" si="0"/>
        <v>2</v>
      </c>
      <c r="F33" s="57" t="s">
        <v>43</v>
      </c>
      <c r="G33" s="58"/>
      <c r="H33" s="38"/>
      <c r="J33" s="1"/>
      <c r="L33" s="1"/>
    </row>
    <row r="34" spans="1:12" ht="30" x14ac:dyDescent="0.25">
      <c r="A34" s="52" t="s">
        <v>53</v>
      </c>
      <c r="B34" s="59" t="s">
        <v>21</v>
      </c>
      <c r="C34" s="54" t="s">
        <v>16</v>
      </c>
      <c r="D34" s="55">
        <v>2</v>
      </c>
      <c r="E34" s="55">
        <f t="shared" si="0"/>
        <v>6</v>
      </c>
      <c r="F34" s="57" t="s">
        <v>43</v>
      </c>
      <c r="G34" s="58"/>
      <c r="H34" s="38"/>
      <c r="J34" s="1"/>
      <c r="L34" s="1"/>
    </row>
    <row r="35" spans="1:12" ht="30" x14ac:dyDescent="0.25">
      <c r="A35" s="52" t="s">
        <v>54</v>
      </c>
      <c r="B35" s="59" t="s">
        <v>21</v>
      </c>
      <c r="C35" s="54" t="s">
        <v>16</v>
      </c>
      <c r="D35" s="55">
        <v>2</v>
      </c>
      <c r="E35" s="55">
        <f t="shared" si="0"/>
        <v>6</v>
      </c>
      <c r="F35" s="57" t="s">
        <v>43</v>
      </c>
      <c r="G35" s="58"/>
      <c r="H35" s="38"/>
      <c r="J35" s="1"/>
      <c r="L35" s="1"/>
    </row>
    <row r="36" spans="1:12" ht="60" x14ac:dyDescent="0.25">
      <c r="A36" s="52" t="s">
        <v>56</v>
      </c>
      <c r="B36" s="59" t="s">
        <v>9</v>
      </c>
      <c r="C36" s="54" t="s">
        <v>8</v>
      </c>
      <c r="D36" s="55">
        <v>3</v>
      </c>
      <c r="E36" s="55">
        <f t="shared" si="0"/>
        <v>3</v>
      </c>
      <c r="F36" s="57" t="s">
        <v>44</v>
      </c>
      <c r="G36" s="60"/>
      <c r="H36" s="38"/>
      <c r="J36" s="1"/>
      <c r="L36" s="1"/>
    </row>
    <row r="37" spans="1:12" ht="30" x14ac:dyDescent="0.25">
      <c r="A37" s="52" t="s">
        <v>55</v>
      </c>
      <c r="B37" s="59" t="s">
        <v>14</v>
      </c>
      <c r="C37" s="54" t="s">
        <v>8</v>
      </c>
      <c r="D37" s="55">
        <v>3</v>
      </c>
      <c r="E37" s="55">
        <f t="shared" si="0"/>
        <v>1.5</v>
      </c>
      <c r="F37" s="57" t="s">
        <v>44</v>
      </c>
      <c r="G37" s="63"/>
      <c r="H37" s="38"/>
      <c r="J37" s="1"/>
      <c r="L37" s="1"/>
    </row>
    <row r="38" spans="1:12" x14ac:dyDescent="0.25">
      <c r="A38" s="52" t="s">
        <v>51</v>
      </c>
      <c r="B38" s="59" t="s">
        <v>9</v>
      </c>
      <c r="C38" s="54" t="s">
        <v>42</v>
      </c>
      <c r="D38" s="55">
        <v>4</v>
      </c>
      <c r="E38" s="55">
        <f t="shared" si="0"/>
        <v>4</v>
      </c>
      <c r="F38" s="57" t="s">
        <v>40</v>
      </c>
      <c r="G38" s="60"/>
      <c r="H38" s="38"/>
      <c r="J38" s="1"/>
      <c r="L38" s="1"/>
    </row>
    <row r="39" spans="1:12" ht="30" x14ac:dyDescent="0.25">
      <c r="A39" s="52" t="s">
        <v>75</v>
      </c>
      <c r="B39" s="59" t="s">
        <v>9</v>
      </c>
      <c r="C39" s="54" t="s">
        <v>70</v>
      </c>
      <c r="D39" s="55">
        <v>3</v>
      </c>
      <c r="E39" s="62">
        <f t="shared" si="0"/>
        <v>3</v>
      </c>
      <c r="F39" s="57" t="s">
        <v>44</v>
      </c>
      <c r="G39" s="64"/>
      <c r="H39" s="38"/>
      <c r="J39" s="1"/>
      <c r="L39" s="1"/>
    </row>
    <row r="40" spans="1:12" ht="30" x14ac:dyDescent="0.25">
      <c r="A40" s="52" t="s">
        <v>58</v>
      </c>
      <c r="B40" s="59" t="s">
        <v>14</v>
      </c>
      <c r="C40" s="54" t="s">
        <v>8</v>
      </c>
      <c r="D40" s="55">
        <v>3</v>
      </c>
      <c r="E40" s="55">
        <f t="shared" si="0"/>
        <v>1.5</v>
      </c>
      <c r="F40" s="57" t="s">
        <v>44</v>
      </c>
      <c r="G40" s="63"/>
      <c r="H40" s="38"/>
      <c r="J40" s="1"/>
      <c r="L40" s="1"/>
    </row>
    <row r="41" spans="1:12" ht="30" x14ac:dyDescent="0.25">
      <c r="A41" s="52" t="s">
        <v>59</v>
      </c>
      <c r="B41" s="59" t="s">
        <v>14</v>
      </c>
      <c r="C41" s="54" t="s">
        <v>8</v>
      </c>
      <c r="D41" s="55">
        <v>3</v>
      </c>
      <c r="E41" s="55">
        <f t="shared" si="0"/>
        <v>1.5</v>
      </c>
      <c r="F41" s="57" t="s">
        <v>44</v>
      </c>
      <c r="G41" s="63"/>
      <c r="H41" s="38"/>
      <c r="J41" s="1"/>
      <c r="L41" s="1"/>
    </row>
    <row r="42" spans="1:12" ht="30" x14ac:dyDescent="0.25">
      <c r="A42" s="52" t="s">
        <v>76</v>
      </c>
      <c r="B42" s="59" t="s">
        <v>14</v>
      </c>
      <c r="C42" s="54" t="s">
        <v>42</v>
      </c>
      <c r="D42" s="55">
        <v>2</v>
      </c>
      <c r="E42" s="55">
        <f t="shared" si="0"/>
        <v>1</v>
      </c>
      <c r="F42" s="57" t="s">
        <v>40</v>
      </c>
      <c r="G42" s="60"/>
      <c r="H42" s="51"/>
      <c r="J42" s="1"/>
      <c r="L42" s="1"/>
    </row>
    <row r="43" spans="1:12" ht="30" x14ac:dyDescent="0.25">
      <c r="A43" s="52" t="s">
        <v>57</v>
      </c>
      <c r="B43" s="59" t="s">
        <v>21</v>
      </c>
      <c r="C43" s="54" t="s">
        <v>16</v>
      </c>
      <c r="D43" s="55">
        <v>2</v>
      </c>
      <c r="E43" s="55">
        <f t="shared" si="0"/>
        <v>6</v>
      </c>
      <c r="F43" s="57" t="s">
        <v>41</v>
      </c>
      <c r="G43" s="63"/>
      <c r="H43" s="51"/>
      <c r="J43" s="1"/>
      <c r="L43" s="1"/>
    </row>
    <row r="44" spans="1:12" ht="30.75" thickBot="1" x14ac:dyDescent="0.3">
      <c r="A44" s="52" t="s">
        <v>77</v>
      </c>
      <c r="B44" s="59" t="s">
        <v>9</v>
      </c>
      <c r="C44" s="54" t="s">
        <v>4</v>
      </c>
      <c r="D44" s="55">
        <v>4</v>
      </c>
      <c r="E44" s="55">
        <f>IF(B44="New (2 Deliveries)",((D44*2)+(D44*1)),IF(B44="Full Rev (2 Deliveries)",((D44*2)+(D44*1)),IF(B44="New (1 Delivery)",(D44*2),IF(B44="Full Rev (1 Delivery)",(D44*2),IF(B44="Revision",(D44*1),IF(B44="Refresh",(D44*0.5),IF(B44="Copernican",(D44*0.2),(D44*0+0.33))))))))</f>
        <v>4</v>
      </c>
      <c r="F44" s="57" t="s">
        <v>41</v>
      </c>
      <c r="G44" s="60"/>
      <c r="H44" s="51"/>
      <c r="J44" s="1"/>
      <c r="L44" s="1"/>
    </row>
    <row r="45" spans="1:12" ht="15.75" thickBot="1" x14ac:dyDescent="0.3">
      <c r="A45" s="27" t="s">
        <v>10</v>
      </c>
      <c r="B45" s="28"/>
      <c r="C45" s="28"/>
      <c r="D45" s="29">
        <f>SUM(Table37739[Credits])</f>
        <v>68</v>
      </c>
      <c r="E45" s="29">
        <f>SUM(Table37739[Tokens])</f>
        <v>108.5</v>
      </c>
      <c r="F45" s="30"/>
      <c r="G45" s="31"/>
      <c r="H45" s="51"/>
      <c r="J45" s="1"/>
      <c r="L45" s="1"/>
    </row>
    <row r="46" spans="1:12" ht="15.75" thickBot="1" x14ac:dyDescent="0.3">
      <c r="A46" s="18"/>
      <c r="B46" s="2"/>
      <c r="C46" s="2"/>
      <c r="D46" s="10"/>
      <c r="E46" s="10"/>
      <c r="F46" s="11"/>
      <c r="G46" s="17"/>
      <c r="H46" s="51"/>
      <c r="J46" s="1"/>
      <c r="L46" s="1"/>
    </row>
    <row r="47" spans="1:12" x14ac:dyDescent="0.25">
      <c r="A47" s="66" t="s">
        <v>45</v>
      </c>
      <c r="B47" s="67"/>
      <c r="C47" s="67"/>
      <c r="D47" s="67"/>
      <c r="E47" s="67"/>
      <c r="F47" s="67"/>
      <c r="G47" s="68"/>
      <c r="H47" s="51"/>
      <c r="J47" s="1"/>
      <c r="L47" s="1"/>
    </row>
    <row r="48" spans="1:12" x14ac:dyDescent="0.25">
      <c r="A48" s="39" t="s">
        <v>38</v>
      </c>
      <c r="B48" s="32" t="s">
        <v>25</v>
      </c>
      <c r="C48" s="32" t="s">
        <v>0</v>
      </c>
      <c r="D48" s="33" t="s">
        <v>1</v>
      </c>
      <c r="E48" s="36" t="s">
        <v>2</v>
      </c>
      <c r="F48" s="34" t="s">
        <v>39</v>
      </c>
      <c r="G48" s="40" t="s">
        <v>3</v>
      </c>
      <c r="H48" s="51"/>
      <c r="J48" s="1"/>
      <c r="L48" s="1"/>
    </row>
    <row r="49" spans="1:12" ht="45" x14ac:dyDescent="0.25">
      <c r="A49" s="25" t="s">
        <v>48</v>
      </c>
      <c r="B49" s="35" t="s">
        <v>36</v>
      </c>
      <c r="C49" s="2" t="s">
        <v>17</v>
      </c>
      <c r="D49" s="10">
        <v>3</v>
      </c>
      <c r="E49" s="15">
        <f t="shared" ref="E49:E60" si="1">IF(B49="New (2 Deliveries)",((D49*2)+(D49*1)),IF(B49="Full Rev (2 Deliveries)",((D49*2)+(D49*1)),IF(B49="New (1 Delivery)",(D49*2),IF(B49="Full Rev (1 Delivery)",(D49*2),IF(B49="Revision",(D49*1),IF(B49="Refresh",(D49*0.5),IF(B49="Copernican",(D49*0.2),(D49*0+0.33))))))))</f>
        <v>0.33</v>
      </c>
      <c r="F49" s="11" t="s">
        <v>43</v>
      </c>
      <c r="G49" s="26"/>
      <c r="H49" s="51"/>
      <c r="J49" s="1"/>
      <c r="L49" s="1"/>
    </row>
    <row r="50" spans="1:12" ht="30" x14ac:dyDescent="0.25">
      <c r="A50" s="25" t="s">
        <v>78</v>
      </c>
      <c r="B50" s="18" t="s">
        <v>36</v>
      </c>
      <c r="C50" s="2" t="s">
        <v>17</v>
      </c>
      <c r="D50" s="10">
        <v>3</v>
      </c>
      <c r="E50" s="42">
        <f t="shared" si="1"/>
        <v>0.33</v>
      </c>
      <c r="F50" s="11" t="s">
        <v>41</v>
      </c>
      <c r="G50" s="26"/>
      <c r="H50" s="51"/>
      <c r="J50" s="1"/>
      <c r="L50" s="1"/>
    </row>
    <row r="51" spans="1:12" ht="45" x14ac:dyDescent="0.25">
      <c r="A51" s="25" t="s">
        <v>79</v>
      </c>
      <c r="B51" s="18" t="s">
        <v>36</v>
      </c>
      <c r="C51" s="2" t="s">
        <v>17</v>
      </c>
      <c r="D51" s="10">
        <v>3</v>
      </c>
      <c r="E51" s="42">
        <f t="shared" si="1"/>
        <v>0.33</v>
      </c>
      <c r="F51" s="11" t="s">
        <v>40</v>
      </c>
      <c r="G51" s="26"/>
      <c r="H51" s="51"/>
      <c r="J51" s="1"/>
      <c r="L51" s="1"/>
    </row>
    <row r="52" spans="1:12" ht="30" x14ac:dyDescent="0.25">
      <c r="A52" s="25" t="s">
        <v>80</v>
      </c>
      <c r="B52" s="18" t="s">
        <v>36</v>
      </c>
      <c r="C52" s="2" t="s">
        <v>17</v>
      </c>
      <c r="D52" s="10">
        <v>2</v>
      </c>
      <c r="E52" s="42">
        <f t="shared" si="1"/>
        <v>0.33</v>
      </c>
      <c r="F52" s="11" t="s">
        <v>44</v>
      </c>
      <c r="G52" s="26"/>
      <c r="H52" s="51"/>
      <c r="J52" s="1"/>
      <c r="L52" s="1"/>
    </row>
    <row r="53" spans="1:12" ht="30" x14ac:dyDescent="0.25">
      <c r="A53" s="25" t="s">
        <v>49</v>
      </c>
      <c r="B53" s="18" t="s">
        <v>36</v>
      </c>
      <c r="C53" s="2" t="s">
        <v>17</v>
      </c>
      <c r="D53" s="10">
        <v>4</v>
      </c>
      <c r="E53" s="42">
        <f t="shared" si="1"/>
        <v>0.33</v>
      </c>
      <c r="F53" s="11" t="s">
        <v>43</v>
      </c>
      <c r="G53" s="26"/>
      <c r="H53" s="51"/>
      <c r="J53" s="1"/>
      <c r="L53" s="1"/>
    </row>
    <row r="54" spans="1:12" ht="45" x14ac:dyDescent="0.25">
      <c r="A54" s="25" t="s">
        <v>60</v>
      </c>
      <c r="B54" s="18" t="s">
        <v>36</v>
      </c>
      <c r="C54" s="2" t="s">
        <v>17</v>
      </c>
      <c r="D54" s="10">
        <v>3</v>
      </c>
      <c r="E54" s="42">
        <f t="shared" si="1"/>
        <v>0.33</v>
      </c>
      <c r="F54" s="11" t="s">
        <v>40</v>
      </c>
      <c r="G54" s="26"/>
    </row>
    <row r="55" spans="1:12" ht="30" x14ac:dyDescent="0.25">
      <c r="A55" s="25" t="s">
        <v>81</v>
      </c>
      <c r="B55" s="18" t="s">
        <v>36</v>
      </c>
      <c r="C55" s="2" t="s">
        <v>17</v>
      </c>
      <c r="D55" s="10">
        <v>2</v>
      </c>
      <c r="E55" s="42">
        <f t="shared" si="1"/>
        <v>0.33</v>
      </c>
      <c r="F55" s="11" t="s">
        <v>44</v>
      </c>
      <c r="G55" s="26"/>
    </row>
    <row r="56" spans="1:12" ht="30" x14ac:dyDescent="0.25">
      <c r="A56" s="25" t="s">
        <v>47</v>
      </c>
      <c r="B56" s="18" t="s">
        <v>36</v>
      </c>
      <c r="C56" s="2" t="s">
        <v>17</v>
      </c>
      <c r="D56" s="10">
        <v>3</v>
      </c>
      <c r="E56" s="42">
        <f>IF(B56="New (2 Deliveries)",((D56*2)+(D56*1)),IF(B56="Full Rev (2 Deliveries)",((D56*2)+(D56*1)),IF(B56="New (1 Delivery)",(D56*2),IF(B56="Full Rev (1 Delivery)",(D56*2),IF(B56="Revision",(D56*1),IF(B56="Refresh",(D56*0.5),IF(B56="Copernican",(D56*0.2),(D56*0+0.33))))))))</f>
        <v>0.33</v>
      </c>
      <c r="F56" s="11" t="s">
        <v>43</v>
      </c>
      <c r="G56" s="26"/>
    </row>
    <row r="57" spans="1:12" ht="30" x14ac:dyDescent="0.25">
      <c r="A57" s="47" t="s">
        <v>72</v>
      </c>
      <c r="B57" s="18" t="s">
        <v>36</v>
      </c>
      <c r="C57" s="2" t="s">
        <v>17</v>
      </c>
      <c r="D57" s="10">
        <v>4</v>
      </c>
      <c r="E57" s="48">
        <f t="shared" si="1"/>
        <v>0.33</v>
      </c>
      <c r="F57" s="46" t="s">
        <v>41</v>
      </c>
      <c r="G57" s="26"/>
    </row>
    <row r="58" spans="1:12" ht="30" x14ac:dyDescent="0.25">
      <c r="A58" s="47" t="s">
        <v>82</v>
      </c>
      <c r="B58" s="18" t="s">
        <v>36</v>
      </c>
      <c r="C58" s="2" t="s">
        <v>17</v>
      </c>
      <c r="D58" s="10">
        <v>3</v>
      </c>
      <c r="E58" s="48">
        <f t="shared" si="1"/>
        <v>0.33</v>
      </c>
      <c r="F58" s="46" t="s">
        <v>44</v>
      </c>
      <c r="G58" s="26"/>
    </row>
    <row r="59" spans="1:12" ht="30" x14ac:dyDescent="0.25">
      <c r="A59" s="47" t="s">
        <v>52</v>
      </c>
      <c r="B59" s="18" t="s">
        <v>36</v>
      </c>
      <c r="C59" s="2" t="s">
        <v>17</v>
      </c>
      <c r="D59" s="10">
        <v>3</v>
      </c>
      <c r="E59" s="48">
        <f t="shared" si="1"/>
        <v>0.33</v>
      </c>
      <c r="F59" s="46" t="s">
        <v>40</v>
      </c>
      <c r="G59" s="26"/>
    </row>
    <row r="60" spans="1:12" ht="30.75" thickBot="1" x14ac:dyDescent="0.3">
      <c r="A60" s="47" t="s">
        <v>83</v>
      </c>
      <c r="B60" s="18" t="s">
        <v>36</v>
      </c>
      <c r="C60" s="2" t="s">
        <v>17</v>
      </c>
      <c r="D60" s="10">
        <v>3</v>
      </c>
      <c r="E60" s="43">
        <f t="shared" si="1"/>
        <v>0.33</v>
      </c>
      <c r="F60" s="22" t="s">
        <v>41</v>
      </c>
      <c r="G60" s="26"/>
    </row>
    <row r="61" spans="1:12" ht="15.75" thickBot="1" x14ac:dyDescent="0.3">
      <c r="A61" s="27" t="s">
        <v>10</v>
      </c>
      <c r="B61" s="37"/>
      <c r="C61" s="28"/>
      <c r="D61" s="29">
        <f>SUM(Table443140[Credits])</f>
        <v>36</v>
      </c>
      <c r="E61" s="29">
        <f>SUM(Table443140[Tokens])</f>
        <v>3.9600000000000004</v>
      </c>
      <c r="F61" s="30"/>
      <c r="G61" s="31"/>
    </row>
    <row r="63" spans="1:12" x14ac:dyDescent="0.25">
      <c r="A63" s="1"/>
      <c r="D63"/>
      <c r="H63"/>
    </row>
    <row r="64" spans="1:12" x14ac:dyDescent="0.25">
      <c r="A64" s="1"/>
      <c r="D64"/>
      <c r="H64"/>
    </row>
    <row r="65" spans="1:8" x14ac:dyDescent="0.25">
      <c r="A65" s="1"/>
      <c r="D65"/>
      <c r="H65"/>
    </row>
    <row r="66" spans="1:8" x14ac:dyDescent="0.25">
      <c r="A66" s="1"/>
      <c r="D66"/>
      <c r="H66"/>
    </row>
    <row r="67" spans="1:8" x14ac:dyDescent="0.25">
      <c r="A67" s="1"/>
      <c r="D67"/>
      <c r="H67"/>
    </row>
    <row r="68" spans="1:8" x14ac:dyDescent="0.25">
      <c r="A68" s="1"/>
      <c r="D68"/>
      <c r="H68"/>
    </row>
    <row r="69" spans="1:8" x14ac:dyDescent="0.25">
      <c r="A69" s="1"/>
      <c r="D69"/>
      <c r="H69"/>
    </row>
    <row r="70" spans="1:8" x14ac:dyDescent="0.25">
      <c r="A70" s="1"/>
      <c r="D70"/>
      <c r="H70"/>
    </row>
    <row r="71" spans="1:8" x14ac:dyDescent="0.25">
      <c r="A71" s="1"/>
      <c r="D71"/>
      <c r="H71"/>
    </row>
    <row r="72" spans="1:8" x14ac:dyDescent="0.25">
      <c r="A72" s="1"/>
      <c r="D72"/>
      <c r="H72"/>
    </row>
    <row r="73" spans="1:8" x14ac:dyDescent="0.25">
      <c r="A73" s="1"/>
      <c r="D73"/>
      <c r="H73"/>
    </row>
    <row r="74" spans="1:8" x14ac:dyDescent="0.25">
      <c r="A74" s="1"/>
      <c r="D74"/>
      <c r="H74"/>
    </row>
    <row r="75" spans="1:8" x14ac:dyDescent="0.25">
      <c r="A75" s="1"/>
      <c r="D75"/>
      <c r="H75"/>
    </row>
    <row r="76" spans="1:8" x14ac:dyDescent="0.25">
      <c r="A76" s="1"/>
      <c r="D76"/>
      <c r="H76"/>
    </row>
    <row r="77" spans="1:8" x14ac:dyDescent="0.25">
      <c r="A77" s="1"/>
      <c r="D77"/>
      <c r="H77"/>
    </row>
    <row r="78" spans="1:8" x14ac:dyDescent="0.25">
      <c r="A78" s="1"/>
      <c r="D78"/>
      <c r="H78"/>
    </row>
    <row r="79" spans="1:8" x14ac:dyDescent="0.25">
      <c r="A79" s="1"/>
      <c r="D79"/>
      <c r="H79"/>
    </row>
    <row r="80" spans="1:8" x14ac:dyDescent="0.25">
      <c r="A80" s="1"/>
      <c r="D80"/>
      <c r="H80"/>
    </row>
    <row r="81" spans="1:8" x14ac:dyDescent="0.25">
      <c r="A81" s="1"/>
      <c r="D81"/>
      <c r="H81"/>
    </row>
    <row r="82" spans="1:8" x14ac:dyDescent="0.25">
      <c r="A82" s="1"/>
      <c r="D82"/>
      <c r="H82"/>
    </row>
    <row r="83" spans="1:8" x14ac:dyDescent="0.25">
      <c r="A83" s="1"/>
      <c r="D83"/>
      <c r="H83"/>
    </row>
    <row r="84" spans="1:8" x14ac:dyDescent="0.25">
      <c r="A84" s="1"/>
      <c r="D84"/>
      <c r="H84"/>
    </row>
    <row r="85" spans="1:8" x14ac:dyDescent="0.25">
      <c r="A85" s="1"/>
      <c r="D85"/>
      <c r="H85"/>
    </row>
    <row r="86" spans="1:8" x14ac:dyDescent="0.25">
      <c r="A86" s="1"/>
      <c r="D86"/>
      <c r="H86"/>
    </row>
  </sheetData>
  <mergeCells count="5">
    <mergeCell ref="A1:G1"/>
    <mergeCell ref="A2:F2"/>
    <mergeCell ref="A13:G13"/>
    <mergeCell ref="A20:G20"/>
    <mergeCell ref="A47:G47"/>
  </mergeCells>
  <pageMargins left="0.25" right="0.25" top="0.75" bottom="0.75" header="0.3" footer="0.3"/>
  <pageSetup orientation="portrait" r:id="rId1"/>
  <tableParts count="4">
    <tablePart r:id="rId2"/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Sheet1!$A$1:$A$8</xm:f>
          </x14:formula1>
          <xm:sqref>B49:B60 B22:B44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B6" sqref="B6"/>
    </sheetView>
  </sheetViews>
  <sheetFormatPr defaultRowHeight="15" x14ac:dyDescent="0.25"/>
  <sheetData>
    <row r="1" spans="1:1" x14ac:dyDescent="0.25">
      <c r="A1" t="s">
        <v>5</v>
      </c>
    </row>
    <row r="2" spans="1:1" x14ac:dyDescent="0.25">
      <c r="A2" t="s">
        <v>11</v>
      </c>
    </row>
    <row r="3" spans="1:1" x14ac:dyDescent="0.25">
      <c r="A3" t="s">
        <v>22</v>
      </c>
    </row>
    <row r="4" spans="1:1" x14ac:dyDescent="0.25">
      <c r="A4" t="s">
        <v>21</v>
      </c>
    </row>
    <row r="5" spans="1:1" x14ac:dyDescent="0.25">
      <c r="A5" t="s">
        <v>9</v>
      </c>
    </row>
    <row r="6" spans="1:1" x14ac:dyDescent="0.25">
      <c r="A6" t="s">
        <v>14</v>
      </c>
    </row>
    <row r="7" spans="1:1" x14ac:dyDescent="0.25">
      <c r="A7" t="s">
        <v>35</v>
      </c>
    </row>
    <row r="8" spans="1:1" x14ac:dyDescent="0.25">
      <c r="A8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38CD13CFC6D44D92FE878C0CAEFCA2" ma:contentTypeVersion="8" ma:contentTypeDescription="Create a new document." ma:contentTypeScope="" ma:versionID="f43fdf3879e3b37ee3d27a2ad5edf12b">
  <xsd:schema xmlns:xsd="http://www.w3.org/2001/XMLSchema" xmlns:xs="http://www.w3.org/2001/XMLSchema" xmlns:p="http://schemas.microsoft.com/office/2006/metadata/properties" xmlns:ns2="9243d413-cd23-4ec6-a62e-5a44b3fda703" xmlns:ns3="23ff0e03-76cb-49f3-bcf2-5224479bb273" targetNamespace="http://schemas.microsoft.com/office/2006/metadata/properties" ma:root="true" ma:fieldsID="89c921d4d47f09f945a6c2e44a420f42" ns2:_="" ns3:_="">
    <xsd:import namespace="9243d413-cd23-4ec6-a62e-5a44b3fda703"/>
    <xsd:import namespace="23ff0e03-76cb-49f3-bcf2-5224479bb2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3d413-cd23-4ec6-a62e-5a44b3fda7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f0e03-76cb-49f3-bcf2-5224479bb2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CBD7BC-0D7F-49FE-AFD5-BFA73134B347}">
  <ds:schemaRefs>
    <ds:schemaRef ds:uri="http://purl.org/dc/terms/"/>
    <ds:schemaRef ds:uri="23ff0e03-76cb-49f3-bcf2-5224479bb273"/>
    <ds:schemaRef ds:uri="http://schemas.microsoft.com/office/2006/documentManagement/types"/>
    <ds:schemaRef ds:uri="http://schemas.microsoft.com/office/infopath/2007/PartnerControls"/>
    <ds:schemaRef ds:uri="9243d413-cd23-4ec6-a62e-5a44b3fda70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6506146-EB57-4FD5-AF1C-9C37A0486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43d413-cd23-4ec6-a62e-5a44b3fda703"/>
    <ds:schemaRef ds:uri="23ff0e03-76cb-49f3-bcf2-5224479bb2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694C3C-5995-4845-B5F7-BBE9C8A6CA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Semester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Lentfer, Nathan V</dc:creator>
  <cp:keywords/>
  <dc:description/>
  <cp:lastModifiedBy>Lentfer, Nathan V</cp:lastModifiedBy>
  <cp:revision/>
  <dcterms:created xsi:type="dcterms:W3CDTF">2006-09-16T00:00:00Z</dcterms:created>
  <dcterms:modified xsi:type="dcterms:W3CDTF">2018-08-01T12:48:15Z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0x0101003738CD13CFC6D44D92FE878C0CAEFCA2</vt:lpwstr>
  </property>
</Properties>
</file>